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1-งานแผน\หลักสูตร-นิสิต\68-72\ประชุมเชิงปฏิบัติการ-จุดคุ้มทุน\ผช-การวิเคราะห์จุดคุ้มทุน\"/>
    </mc:Choice>
  </mc:AlternateContent>
  <xr:revisionPtr revIDLastSave="0" documentId="13_ncr:1_{B9CF5D57-25FC-4C02-96B0-6E9CC84DE96F}" xr6:coauthVersionLast="47" xr6:coauthVersionMax="47" xr10:uidLastSave="{00000000-0000-0000-0000-000000000000}"/>
  <bookViews>
    <workbookView xWindow="-108" yWindow="-108" windowWidth="23256" windowHeight="12576" xr2:uid="{54D84681-689A-4CA4-BAD2-B2443D7995C3}"/>
  </bookViews>
  <sheets>
    <sheet name="คำอธิบาย" sheetId="5" r:id="rId1"/>
    <sheet name="งบการเงิน" sheetId="3" r:id="rId2"/>
    <sheet name="บัณฑิตศึกษา-โท" sheetId="1" r:id="rId3"/>
    <sheet name="มคอ2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  <c r="D7" i="4" s="1"/>
  <c r="D4" i="4" l="1"/>
  <c r="C4" i="4" s="1"/>
  <c r="D5" i="4"/>
  <c r="D6" i="4"/>
  <c r="D8" i="4"/>
  <c r="B11" i="1"/>
  <c r="D11" i="1" s="1"/>
  <c r="G18" i="1"/>
  <c r="B18" i="1" s="1"/>
  <c r="B3" i="1" l="1"/>
  <c r="D37" i="1"/>
  <c r="D38" i="1"/>
  <c r="D36" i="1"/>
  <c r="D35" i="1"/>
  <c r="D34" i="1"/>
  <c r="D33" i="1"/>
  <c r="D32" i="1"/>
  <c r="D30" i="1"/>
  <c r="D29" i="1"/>
  <c r="D28" i="1"/>
  <c r="D27" i="1"/>
  <c r="D26" i="1"/>
  <c r="B17" i="1" l="1"/>
  <c r="B6" i="1" l="1"/>
  <c r="B4" i="1"/>
  <c r="B2" i="1"/>
  <c r="H9" i="1" l="1"/>
  <c r="B9" i="1" s="1"/>
  <c r="H8" i="1"/>
  <c r="B8" i="1" s="1"/>
  <c r="H7" i="1"/>
  <c r="B7" i="1" s="1"/>
  <c r="H5" i="1"/>
  <c r="B68" i="1"/>
  <c r="B67" i="1"/>
  <c r="B63" i="1"/>
  <c r="B61" i="1"/>
  <c r="B59" i="1"/>
  <c r="H10" i="1"/>
  <c r="B10" i="1" s="1"/>
  <c r="G5" i="1"/>
  <c r="C7" i="4"/>
  <c r="C8" i="4"/>
  <c r="B5" i="1" l="1"/>
  <c r="B71" i="1"/>
  <c r="B12" i="1" s="1"/>
  <c r="C5" i="4"/>
  <c r="C6" i="4"/>
  <c r="C39" i="3"/>
  <c r="B39" i="3"/>
  <c r="D17" i="3"/>
  <c r="D18" i="3"/>
  <c r="D19" i="3"/>
  <c r="D28" i="3"/>
  <c r="D29" i="3"/>
  <c r="D34" i="3"/>
  <c r="D38" i="3"/>
  <c r="D3" i="3"/>
  <c r="C9" i="4" l="1"/>
  <c r="D39" i="3"/>
  <c r="D21" i="1"/>
  <c r="D20" i="1"/>
  <c r="D19" i="1"/>
  <c r="D18" i="1"/>
  <c r="D17" i="1"/>
  <c r="D3" i="1"/>
  <c r="D4" i="1"/>
  <c r="D5" i="1"/>
  <c r="D6" i="1"/>
  <c r="D7" i="1"/>
  <c r="D8" i="1"/>
  <c r="D9" i="1"/>
  <c r="D10" i="1"/>
  <c r="D12" i="1"/>
  <c r="D2" i="1"/>
  <c r="D39" i="1" l="1"/>
  <c r="D13" i="1"/>
  <c r="B43" i="1" s="1"/>
  <c r="E8" i="4" l="1"/>
  <c r="E7" i="4"/>
  <c r="E6" i="4"/>
  <c r="E5" i="4"/>
  <c r="E4" i="4"/>
  <c r="B44" i="1"/>
  <c r="E9" i="4" l="1"/>
  <c r="F4" i="4"/>
  <c r="F7" i="4"/>
  <c r="G7" i="4" s="1"/>
  <c r="I7" i="4" s="1"/>
  <c r="J7" i="4" s="1"/>
  <c r="F6" i="4"/>
  <c r="F5" i="4"/>
  <c r="G5" i="4" s="1"/>
  <c r="I5" i="4" s="1"/>
  <c r="J5" i="4" s="1"/>
  <c r="F8" i="4"/>
  <c r="B46" i="1"/>
  <c r="G8" i="4"/>
  <c r="I8" i="4" s="1"/>
  <c r="J8" i="4" s="1"/>
  <c r="G6" i="4"/>
  <c r="I6" i="4" s="1"/>
  <c r="J6" i="4" s="1"/>
  <c r="H5" i="4" l="1"/>
  <c r="H7" i="4"/>
  <c r="H4" i="4"/>
  <c r="H8" i="4"/>
  <c r="H6" i="4"/>
  <c r="F9" i="4"/>
  <c r="G4" i="4"/>
  <c r="I4" i="4" s="1"/>
  <c r="J4" i="4" l="1"/>
  <c r="G9" i="4"/>
</calcChain>
</file>

<file path=xl/sharedStrings.xml><?xml version="1.0" encoding="utf-8"?>
<sst xmlns="http://schemas.openxmlformats.org/spreadsheetml/2006/main" count="224" uniqueCount="175">
  <si>
    <t>ต้นทุนคงที่</t>
  </si>
  <si>
    <t>จำนวนภาคเรียน</t>
  </si>
  <si>
    <t>อัตราต่อภาคเรียน (บาท)</t>
  </si>
  <si>
    <t>จำนวนเงิน</t>
  </si>
  <si>
    <t>1. ค่าเสื่อมราคา อาคาร</t>
  </si>
  <si>
    <t>2. ค่าเสื่อมราคา ครุภัณฑ์ (อุปกรณ์/เครื่องมือ)</t>
  </si>
  <si>
    <t>3. ค่าฐานข้อมูล/โปรแกรมเฉพาะทาง</t>
  </si>
  <si>
    <t>4. เงินเดือนบุคลากรสายงานสอน</t>
  </si>
  <si>
    <t>6. เงินเดือนบุคลากรสายสนับสนุน-ลูกจ้างชั่วคราว</t>
  </si>
  <si>
    <t>7. ค่าตอบแทนการสอน</t>
  </si>
  <si>
    <t>8. ค่าตอบแทนอาจารย์พิเศษ/ผู้เชี่ยวชาญ</t>
  </si>
  <si>
    <t>9. ค่าตอบแทนนอกเวลาสายสนับสนุน</t>
  </si>
  <si>
    <t>รวมต้นทุนคงที่ต่อหลักสูตร</t>
  </si>
  <si>
    <t>ต้นทุนผันแปร</t>
  </si>
  <si>
    <t>ต้นทุนผันแปรต่อนิสิต 1 คน</t>
  </si>
  <si>
    <t>1. ค่าวัสดุการศึกษา</t>
  </si>
  <si>
    <t>2. ค่าใช้จ่ายในการจัดกิจกรรมพัฒนานิสิต</t>
  </si>
  <si>
    <t>3. ค่าใช้จ่ายในการนิเทศฝึกงาน/สหกิจ/วอร์ดแพทย์-พยาบาล</t>
  </si>
  <si>
    <t>จำนวนครั้ง</t>
  </si>
  <si>
    <t>อัตราต่อครั้ง (บาท)</t>
  </si>
  <si>
    <t>การวิเคราะห์จุดคุ้มทุน</t>
  </si>
  <si>
    <t>Fixed Costs ต่อหลักสูตร</t>
  </si>
  <si>
    <t>Variable Costs ต่อคน</t>
  </si>
  <si>
    <t>รายรับตลอดหลักสูตร ต่อคน)</t>
  </si>
  <si>
    <t>จุดคุ้มทุนของหลักสูตร (จำนวนนิสิต)</t>
  </si>
  <si>
    <t>ค่าที่พักของผู้ทรงคุณวุฒิภายนอก</t>
  </si>
  <si>
    <t>รายการในงบการเงิน</t>
  </si>
  <si>
    <t>รายการ</t>
  </si>
  <si>
    <t>เงินแผ่นดิน</t>
  </si>
  <si>
    <t>เงินรายได้</t>
  </si>
  <si>
    <t>รวม</t>
  </si>
  <si>
    <t>ค่าใช้จ่ายบุคลากร</t>
  </si>
  <si>
    <t>ค่าบำเหน็จบำนาญ</t>
  </si>
  <si>
    <t>ค่าตอบแทน</t>
  </si>
  <si>
    <t>ค่าใช้สอย</t>
  </si>
  <si>
    <t>ค่าวัสดุ</t>
  </si>
  <si>
    <t>ค่าสาธารณูปโภค</t>
  </si>
  <si>
    <t>ค่าเสื่อมราคาและค่าตัดจำหน่าย</t>
  </si>
  <si>
    <t>ค่าใช้จ่ายอื่น</t>
  </si>
  <si>
    <t>เงินเดือน</t>
  </si>
  <si>
    <t>เงินประจำตำแหน่ง</t>
  </si>
  <si>
    <t>ค่าล่วงเวลา</t>
  </si>
  <si>
    <t>เงินสวัสดิการพนักงาน</t>
  </si>
  <si>
    <t>เงินตอบแทนพิเศษของผู้ได้รับเงินเต็มขั้น</t>
  </si>
  <si>
    <t>ค่าจ้าง</t>
  </si>
  <si>
    <t>เงินค่าตอบแทนพนักงานราชการ</t>
  </si>
  <si>
    <t>เงินค่าครองชีพ</t>
  </si>
  <si>
    <t>เงินรางวัล</t>
  </si>
  <si>
    <t>เงินเดือนและค่าจ้างอื่น</t>
  </si>
  <si>
    <t>เงินช่วยค่ารักษาพยาบาล</t>
  </si>
  <si>
    <t>เงินสมทบกองทุนประกันสังคม</t>
  </si>
  <si>
    <t>ค่าใช้จ่ายบุคลากรอื่น</t>
  </si>
  <si>
    <t>ค่าใช้จ่ายฝึกอบรม</t>
  </si>
  <si>
    <t>ค่าใช้จ่ายเดินทาง</t>
  </si>
  <si>
    <t>ค่าซ่อมแซมบำรุงรักษา</t>
  </si>
  <si>
    <t>ค่าเชื้อเพลิง</t>
  </si>
  <si>
    <t>ค่าจ้างเหมาบริการ</t>
  </si>
  <si>
    <t>ค่าเบี้ยประกันภัย</t>
  </si>
  <si>
    <t>ค่าใช้จ่ายในการประชุม</t>
  </si>
  <si>
    <t>ค่าใช้สอยอื่นๆ</t>
  </si>
  <si>
    <t>ค่าไฟฟ้า</t>
  </si>
  <si>
    <t>ค่าน้ำประปา</t>
  </si>
  <si>
    <t>ค่าโทรศัพท์</t>
  </si>
  <si>
    <t>ค่าบริการสื่อสารและโทรคมนาคม</t>
  </si>
  <si>
    <t>ค่าเสื่อมราคา-อาคารและสิ่งปลูกสร้าง</t>
  </si>
  <si>
    <t>ค่าเสื่อมราคา-ครุภัณฑ์</t>
  </si>
  <si>
    <t>ค่าตัดจำหน่าย-สินทรัพย์ไม่มีตัวตน</t>
  </si>
  <si>
    <t>ประมาณการรายจ่าย มคอ.2</t>
  </si>
  <si>
    <t>ปีการศึกษา</t>
  </si>
  <si>
    <t>จำนวนนิสิต</t>
  </si>
  <si>
    <t>รายรับทั้งหมด</t>
  </si>
  <si>
    <t>รายรับต่อหัว</t>
  </si>
  <si>
    <t>ประมาณการรายรับ</t>
  </si>
  <si>
    <t>ประมาณการรายจ่าย</t>
  </si>
  <si>
    <t>FC</t>
  </si>
  <si>
    <t>VC</t>
  </si>
  <si>
    <t>Total</t>
  </si>
  <si>
    <t>จำนวนนิสิตที่จุดคุ้มทุน</t>
  </si>
  <si>
    <t>ส่วนต่างรายรัย-รายจ่าย ต่อปี</t>
  </si>
  <si>
    <t>%</t>
  </si>
  <si>
    <t>กรอกเฉพาะตัวเลขจำนวนนิสิต</t>
  </si>
  <si>
    <t>เงินเดือนและค่าจ้าง+เงินประจำตำแหน่งวิชาการ</t>
  </si>
  <si>
    <t>วัสดุการศึกษา</t>
  </si>
  <si>
    <t>เงินเดือนบุคลากรสายสนับสนุน</t>
  </si>
  <si>
    <t>เงินเดือนลูกจ้างชั่วคราว</t>
  </si>
  <si>
    <t>ค่าสอน</t>
  </si>
  <si>
    <t>ด้านล่าง</t>
  </si>
  <si>
    <t>ต้นทุนทางอ้อม</t>
  </si>
  <si>
    <t>เงินประจำตำแหน่งผู้บริหาร</t>
  </si>
  <si>
    <t>ค่าตอบแทนการปฏิบัติงานนอกเวลาราชการ</t>
  </si>
  <si>
    <t>ค่าตอบแทนนิสิตช่วยปฏิบัติงาน</t>
  </si>
  <si>
    <t>ค่าตอบแทนพนักงานขับรถ</t>
  </si>
  <si>
    <t>ค่าตอบแทนอาจารย์พิเศษ</t>
  </si>
  <si>
    <t>ค่าเช่าระบบฐานข้อมูล</t>
  </si>
  <si>
    <t>ค่าประชาสัมพันธ์</t>
  </si>
  <si>
    <t>ค่ารับรอง</t>
  </si>
  <si>
    <t>ค่าเบี้ยเลี้ยง ค่าเช่าที่พักและค่าพาหนะ</t>
  </si>
  <si>
    <t>ค่าซ่อมแซมบำรุงรักษาทรัพย์สิน</t>
  </si>
  <si>
    <t>ค่าเบี้ยประกัน</t>
  </si>
  <si>
    <t>เงินประกันสังคม</t>
  </si>
  <si>
    <t>วัสดุสำนักงาน</t>
  </si>
  <si>
    <t>วัสดุไฟฟ้าและวิทยุ</t>
  </si>
  <si>
    <t>วัสดุงานบ้านงานครัว</t>
  </si>
  <si>
    <t>วัสดุก่อสร้าง</t>
  </si>
  <si>
    <t>วัสดุเชื้อเพลิง</t>
  </si>
  <si>
    <t>วัสดุวิทยาศาสตร์หรือการแพทย์</t>
  </si>
  <si>
    <t>วัสดุการเกษตร</t>
  </si>
  <si>
    <t>วัสดุคอมพิวเตอร์</t>
  </si>
  <si>
    <t>โครงการพัฒนาศักยภาพนิสิต</t>
  </si>
  <si>
    <t>รวมต้นทุนทางอ้อม</t>
  </si>
  <si>
    <t>ลำดับ</t>
  </si>
  <si>
    <t>โครงสร้างต้นทุน</t>
  </si>
  <si>
    <t>ต้นทุนคงที่ (Fixed Costs)</t>
  </si>
  <si>
    <t>กำหนดอัตราต้นทุนคงที่แต่ละรายการต่อภาคการศึกษา และคำนวณต้นทุนคงที่รวมตลอดระยะเวลาของหลักสูตร</t>
  </si>
  <si>
    <t>ค่าเสื่อมราคาอาคาร</t>
  </si>
  <si>
    <t>ค่าเสื่อมราคาครุภัณฑ์ (อุปกรณ์/เครื่องมือ)</t>
  </si>
  <si>
    <t>เงินเดือนบุคลากรสายงานสอน/เงินประจำตำแหน่ง</t>
  </si>
  <si>
    <t>คณะ</t>
  </si>
  <si>
    <t>เงินเดือนบุคลากรสายสนับสนุน-พนักงาน</t>
  </si>
  <si>
    <t>เงินเดือนบุคลากรสายสนับสนุน-ลูกจ้างชั่วคราว</t>
  </si>
  <si>
    <t>ค่าฐานข้อมูล/โปรแกรมเฉพาะทาง</t>
  </si>
  <si>
    <t>ค่าตอบแทนการสอน</t>
  </si>
  <si>
    <t>ค่าตอบแทนอาจารย์พิเศษ/ผู้เชี่ยวชาญ</t>
  </si>
  <si>
    <t>ค่าตอบแทนนอกเวลาสายสนับสนุน</t>
  </si>
  <si>
    <t xml:space="preserve">ต้นทุนทางอ้อมปันส่วน (ของหน่วยงาน) </t>
  </si>
  <si>
    <t xml:space="preserve">ต้นทุนร่วมของหน่วยงาน เช่น ค่าตอบแทนตำแหน่งบริหาร ค่าใช้จ่ายในการพัฒนาตนเองของอาจารย์และบุคคลากร </t>
  </si>
  <si>
    <t>ต้นทุนผันแปร (Variable Costs)</t>
  </si>
  <si>
    <t>กำหนดอัตราต้นทุนผันแปรแต่ละรายการต่อนิสิต 1 คน และคำนวณต้นทุนผันแปรรวมตลอดระยะเวลาของหลักสูตร</t>
  </si>
  <si>
    <t>ค่าวัสดุการศึกษา</t>
  </si>
  <si>
    <t>ค่าใช้จ่ายในการจัดกิจกรรมพัฒนานิสิต</t>
  </si>
  <si>
    <t>ค่าใช้จ่ายในการนิเทศฝึกงาน/สหกิจ/วอร์ดแพทย์-พยาบาล</t>
  </si>
  <si>
    <t>ค่าธรรมเนียมรายการหลัก</t>
  </si>
  <si>
    <t>งานงบประมาณ-กองแผนงาน</t>
  </si>
  <si>
    <t>ปริญญาตรี ปกติ ภาคการศึกษาละ 1,000 บาท  / พิเศษ 1,400 บาท</t>
  </si>
  <si>
    <t>บัณฑิตศึกษา ในเวลาราชการ ภาคการศึกษาละ 1,500 บาท / นอกเวลาราชการ 2,800 บาท</t>
  </si>
  <si>
    <t>ค่าสาธารณูปโภค ศูนย์มหาสารคาม (ปริญญาตรี/บัณฑิตศึกษา) ภาคการศึกษา 1,200 บาท/คน</t>
  </si>
  <si>
    <t>ค่าตอบแทนคณะกรรมการสอบวัดคุณสมบัติ</t>
  </si>
  <si>
    <t>ค่าตอบแทนคณะกรรมการควบคุมวิทยานิพนธ์</t>
  </si>
  <si>
    <t>ค่าตอบแทนคณะกรรมการสอบเค้าโครงวิทยานิพนธ์</t>
  </si>
  <si>
    <t>ค่าตอบแทนคณะกรรมการสอบวิทยานิพนธ์</t>
  </si>
  <si>
    <t>ค่าเดินทางของผู้ทรงคุณวุฒิภายนอก</t>
  </si>
  <si>
    <t>5. เงินเดือนบุคลากรสายสนับสนุน-พนักงาน</t>
  </si>
  <si>
    <t>บัณฑิตวิทยาลัย</t>
  </si>
  <si>
    <t>ค่าธรรมเนียมการศึกษารายวิชาศึกษาทั่วไป</t>
  </si>
  <si>
    <t>สำนักศึกษาทั่วไป</t>
  </si>
  <si>
    <t>กองคลังและพัสดุ</t>
  </si>
  <si>
    <t xml:space="preserve">ปีงบประมาณ พ.ศ.2566 (ฉบับปรับปรุง) </t>
  </si>
  <si>
    <t>ประกาศมหาวิทยาลัย เรื่อง ค่าธรรมเนียมการศึกษารายวิชาศึกษาทั่วไป พ.ศ.2564</t>
  </si>
  <si>
    <t>กลุ่มหลักสูตรนานาชาติ (หมวดวิชาศึกษาทั่วไป) ค่าหน่วยกิตไม่เกิน 850 บาท/ สาขาธุรกิจระหว่างประเทศ ไม่เกิน 550 บาท</t>
  </si>
  <si>
    <t>กลุ่มหมวดวิชาศึกษาทั่วไป</t>
  </si>
  <si>
    <t>คณะการบัญชีฯ คณะการท่องเที่ยวฯ คณะแพทย์ฯ สาขาวิชาภาษอังกฤษธุรกิจ(คณะมนุษย์ฯ) สาขาวิชาสัตวแพทยศาสตร์(คณะสัตวแพทยศาสตร์) ไม่เกิน 450 บาท</t>
  </si>
  <si>
    <t>คณะและสาขาวิชาอื่นๆ  ค่าหน่วยกิตไม่เกิน 250 บาท</t>
  </si>
  <si>
    <t>ระเบียบมหาวิทยาลัยมหาสารคาม ว่าด้วย หลักเกณฑ์และค่าตอบแทนคณะกรรมการสอบระดับบัณฑิตศึกษา พ.ศ.2565</t>
  </si>
  <si>
    <t>ประธาน (อ.ที่ปรึกษาหลัก)</t>
  </si>
  <si>
    <t>กรรมการ (อ.ที่ปรึกษาร่วม)</t>
  </si>
  <si>
    <t>กรรมการ (อ.ที่ปรึกษาหลัก)</t>
  </si>
  <si>
    <t>4. ค่าธรรมเนียมรายการหลัก</t>
  </si>
  <si>
    <t>5. ค่าสาธารณูปโภค</t>
  </si>
  <si>
    <t xml:space="preserve">ประธาน </t>
  </si>
  <si>
    <t>กรรมการ (ผู้ทรงคุณวุฒิภายนอก)</t>
  </si>
  <si>
    <t xml:space="preserve">กรรมการ </t>
  </si>
  <si>
    <t>ค่าตอบแทนคณะกรรมการสอบ QE</t>
  </si>
  <si>
    <t>10.ค่าตอบแทนคณะกรรมการสอบ QE</t>
  </si>
  <si>
    <t>11. ต้นทุนทางอ้อมปันส่วน (ของหน่วยงาน)</t>
  </si>
  <si>
    <t xml:space="preserve">บัณฑิตศึกษา ในเวลาราชการ ภาคการศึกษาละ 1,500 บาท </t>
  </si>
  <si>
    <t>ค่าสาธารณูปโภค (ปริญญาตรี/บัณฑิตศึกษา) ภาคการศึกษา 1,200 บาท/คน</t>
  </si>
  <si>
    <t>คำอธิบาย/แหล่งข้อมูล</t>
  </si>
  <si>
    <t>รายงานข้อมูลค่าเสื่อมราคาครุภัณฑ์ อาคารและสิ่งปลูกสร้าง จำแนกตามคณะ/หลักสูตร</t>
  </si>
  <si>
    <t>รายงานงบการเงินของคณะ</t>
  </si>
  <si>
    <t>ผลการเบิกจ่ายในปีที่ผ่านมา</t>
  </si>
  <si>
    <t>6. ค่าตอบแทนคณะกรรมการควบคุมวิทยานิพนธ์</t>
  </si>
  <si>
    <t>7. ค่าตอบแทนคณะกรรมการสอบเค้าโครงวิทยานิพนธ์</t>
  </si>
  <si>
    <t>8. ค่าตอบแทนคณะกรรมการสอบวิทยานิพนธ์</t>
  </si>
  <si>
    <t>9. ค่าเดินทางของผู้ทรงคุณวุฒิภายนอก</t>
  </si>
  <si>
    <t>10. ค่าที่พักของผู้ทรงคุณวุฒิภายนอก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</si>
</sst>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4" x14ac:knownFonts="1">
    <font>
      <sz val="16"/>
      <color theme="1"/>
      <name val="TH Sarabun New"/>
      <family val="2"/>
      <charset val="222"/>
    </font>
    <font>
      <sz val="16"/>
      <color rgb="FFFF0000"/>
      <name val="TH Sarabun New"/>
      <family val="2"/>
      <charset val="222"/>
    </font>
    <font>
      <b/>
      <sz val="16"/>
      <color theme="1"/>
      <name val="TH Sarabun New"/>
      <family val="2"/>
    </font>
    <font>
      <b/>
      <sz val="16"/>
      <color rgb="FF0070C0"/>
      <name val="TH Sarabun New"/>
      <family val="2"/>
    </font>
    <font>
      <sz val="16"/>
      <color theme="1"/>
      <name val="TH Sarabun New"/>
      <family val="2"/>
    </font>
    <font>
      <sz val="16"/>
      <color theme="1"/>
      <name val="TH Sarabun New"/>
      <family val="2"/>
      <charset val="222"/>
    </font>
    <font>
      <b/>
      <sz val="14"/>
      <color theme="1"/>
      <name val="TH Sarabun New"/>
      <family val="2"/>
    </font>
    <font>
      <sz val="16"/>
      <color rgb="FF0070C0"/>
      <name val="TH Sarabun New"/>
      <family val="2"/>
      <charset val="222"/>
    </font>
    <font>
      <b/>
      <sz val="16"/>
      <color rgb="FFFF0000"/>
      <name val="TH Sarabun New"/>
      <family val="2"/>
    </font>
    <font>
      <b/>
      <u val="singleAccounting"/>
      <sz val="16"/>
      <color theme="1"/>
      <name val="TH Sarabun New"/>
      <family val="2"/>
    </font>
    <font>
      <sz val="16"/>
      <color theme="0"/>
      <name val="TH Sarabun New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000CC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3" fillId="0" borderId="1" xfId="0" applyNumberFormat="1" applyFont="1" applyBorder="1"/>
    <xf numFmtId="164" fontId="3" fillId="2" borderId="1" xfId="0" applyNumberFormat="1" applyFont="1" applyFill="1" applyBorder="1"/>
    <xf numFmtId="1" fontId="0" fillId="0" borderId="1" xfId="0" applyNumberFormat="1" applyBorder="1" applyAlignment="1">
      <alignment horizontal="center"/>
    </xf>
    <xf numFmtId="164" fontId="3" fillId="3" borderId="1" xfId="0" applyNumberFormat="1" applyFont="1" applyFill="1" applyBorder="1"/>
    <xf numFmtId="164" fontId="1" fillId="0" borderId="0" xfId="0" applyNumberFormat="1" applyFont="1"/>
    <xf numFmtId="0" fontId="4" fillId="4" borderId="1" xfId="0" applyFont="1" applyFill="1" applyBorder="1"/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/>
    <xf numFmtId="164" fontId="3" fillId="5" borderId="1" xfId="0" applyNumberFormat="1" applyFont="1" applyFill="1" applyBorder="1"/>
    <xf numFmtId="0" fontId="2" fillId="6" borderId="0" xfId="0" applyFont="1" applyFill="1" applyAlignment="1">
      <alignment horizontal="center"/>
    </xf>
    <xf numFmtId="164" fontId="2" fillId="0" borderId="0" xfId="0" applyNumberFormat="1" applyFont="1"/>
    <xf numFmtId="164" fontId="2" fillId="6" borderId="0" xfId="0" applyNumberFormat="1" applyFont="1" applyFill="1"/>
    <xf numFmtId="0" fontId="2" fillId="6" borderId="0" xfId="0" applyFont="1" applyFill="1" applyAlignment="1">
      <alignment horizontal="right"/>
    </xf>
    <xf numFmtId="164" fontId="3" fillId="6" borderId="0" xfId="0" applyNumberFormat="1" applyFont="1" applyFill="1"/>
    <xf numFmtId="0" fontId="0" fillId="0" borderId="0" xfId="0" applyAlignment="1">
      <alignment horizontal="left" indent="2"/>
    </xf>
    <xf numFmtId="164" fontId="2" fillId="6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164" fontId="0" fillId="0" borderId="0" xfId="1" applyNumberFormat="1" applyFont="1"/>
    <xf numFmtId="164" fontId="2" fillId="0" borderId="0" xfId="1" applyNumberFormat="1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0" fillId="2" borderId="1" xfId="0" applyNumberFormat="1" applyFill="1" applyBorder="1"/>
    <xf numFmtId="164" fontId="2" fillId="0" borderId="1" xfId="0" applyNumberFormat="1" applyFont="1" applyBorder="1"/>
    <xf numFmtId="9" fontId="2" fillId="0" borderId="1" xfId="1" applyFont="1" applyBorder="1" applyAlignment="1">
      <alignment horizontal="center"/>
    </xf>
    <xf numFmtId="9" fontId="0" fillId="0" borderId="1" xfId="1" applyFont="1" applyBorder="1"/>
    <xf numFmtId="164" fontId="7" fillId="0" borderId="2" xfId="0" applyNumberFormat="1" applyFont="1" applyBorder="1"/>
    <xf numFmtId="3" fontId="0" fillId="4" borderId="1" xfId="0" applyNumberFormat="1" applyFill="1" applyBorder="1"/>
    <xf numFmtId="3" fontId="0" fillId="4" borderId="0" xfId="0" applyNumberFormat="1" applyFill="1"/>
    <xf numFmtId="3" fontId="8" fillId="4" borderId="0" xfId="0" applyNumberFormat="1" applyFont="1" applyFill="1"/>
    <xf numFmtId="0" fontId="4" fillId="7" borderId="0" xfId="0" applyFont="1" applyFill="1"/>
    <xf numFmtId="164" fontId="10" fillId="0" borderId="0" xfId="0" applyNumberFormat="1" applyFont="1"/>
    <xf numFmtId="0" fontId="0" fillId="0" borderId="0" xfId="0" applyAlignment="1">
      <alignment shrinkToFit="1"/>
    </xf>
    <xf numFmtId="0" fontId="4" fillId="0" borderId="1" xfId="0" applyFont="1" applyBorder="1"/>
    <xf numFmtId="164" fontId="4" fillId="0" borderId="1" xfId="0" applyNumberFormat="1" applyFont="1" applyBorder="1"/>
    <xf numFmtId="1" fontId="4" fillId="0" borderId="1" xfId="0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shrinkToFit="1"/>
    </xf>
    <xf numFmtId="164" fontId="4" fillId="0" borderId="0" xfId="0" applyNumberFormat="1" applyFont="1"/>
    <xf numFmtId="164" fontId="2" fillId="7" borderId="0" xfId="0" applyNumberFormat="1" applyFont="1" applyFill="1"/>
    <xf numFmtId="164" fontId="0" fillId="0" borderId="0" xfId="0" applyNumberFormat="1" applyAlignment="1">
      <alignment shrinkToFit="1"/>
    </xf>
    <xf numFmtId="164" fontId="4" fillId="0" borderId="0" xfId="0" applyNumberFormat="1" applyFont="1" applyAlignment="1">
      <alignment shrinkToFit="1"/>
    </xf>
    <xf numFmtId="0" fontId="0" fillId="8" borderId="0" xfId="0" applyFill="1"/>
    <xf numFmtId="164" fontId="0" fillId="8" borderId="0" xfId="0" applyNumberFormat="1" applyFill="1"/>
    <xf numFmtId="0" fontId="4" fillId="0" borderId="1" xfId="0" applyFont="1" applyBorder="1" applyAlignment="1">
      <alignment shrinkToFit="1"/>
    </xf>
    <xf numFmtId="0" fontId="2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7" borderId="0" xfId="0" applyFont="1" applyFill="1" applyAlignment="1">
      <alignment horizontal="center" vertical="top" shrinkToFit="1"/>
    </xf>
    <xf numFmtId="164" fontId="9" fillId="7" borderId="0" xfId="0" applyNumberFormat="1" applyFont="1" applyFill="1" applyAlignment="1">
      <alignment horizontal="center" vertical="top" shrinkToFit="1"/>
    </xf>
    <xf numFmtId="0" fontId="2" fillId="3" borderId="1" xfId="0" applyFont="1" applyFill="1" applyBorder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12" fillId="9" borderId="0" xfId="0" applyFont="1" applyFill="1" applyAlignment="1">
      <alignment horizontal="center"/>
    </xf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wrapText="1" indent="2"/>
    </xf>
    <xf numFmtId="43" fontId="0" fillId="0" borderId="0" xfId="0" applyNumberFormat="1"/>
    <xf numFmtId="43" fontId="0" fillId="0" borderId="0" xfId="2" applyFont="1" applyAlignment="1">
      <alignment shrinkToFit="1"/>
    </xf>
    <xf numFmtId="0" fontId="0" fillId="0" borderId="1" xfId="0" applyBorder="1" applyAlignment="1">
      <alignment horizontal="left" indent="2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shrinkToFi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 wrapText="1"/>
    </xf>
    <xf numFmtId="3" fontId="2" fillId="0" borderId="4" xfId="0" applyNumberFormat="1" applyFont="1" applyBorder="1" applyAlignment="1">
      <alignment horizontal="center" wrapText="1"/>
    </xf>
    <xf numFmtId="0" fontId="4" fillId="0" borderId="1" xfId="0" applyFont="1" applyFill="1" applyBorder="1"/>
    <xf numFmtId="164" fontId="0" fillId="0" borderId="1" xfId="0" applyNumberFormat="1" applyFill="1" applyBorder="1"/>
    <xf numFmtId="1" fontId="4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/>
    <xf numFmtId="0" fontId="4" fillId="0" borderId="0" xfId="0" applyFont="1" applyFill="1"/>
    <xf numFmtId="0" fontId="4" fillId="0" borderId="0" xfId="0" applyFont="1" applyFill="1" applyAlignment="1">
      <alignment shrinkToFit="1"/>
    </xf>
    <xf numFmtId="164" fontId="4" fillId="0" borderId="0" xfId="0" applyNumberFormat="1" applyFont="1" applyFill="1" applyAlignment="1">
      <alignment shrinkToFit="1"/>
    </xf>
    <xf numFmtId="0" fontId="4" fillId="0" borderId="1" xfId="0" applyFont="1" applyBorder="1" applyAlignment="1">
      <alignment horizontal="left" indent="2"/>
    </xf>
  </cellXfs>
  <cellStyles count="3">
    <cellStyle name="เปอร์เซ็นต์" xfId="1" builtinId="5"/>
    <cellStyle name="จุลภาค" xfId="2" builtinId="3"/>
    <cellStyle name="ปกติ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6D742-7BE2-40F7-8BD9-51D644878D56}">
  <dimension ref="A1:D33"/>
  <sheetViews>
    <sheetView tabSelected="1" topLeftCell="A13" zoomScale="110" zoomScaleNormal="110" workbookViewId="0">
      <selection activeCell="C14" sqref="C14"/>
    </sheetView>
  </sheetViews>
  <sheetFormatPr defaultColWidth="8.09765625" defaultRowHeight="21" x14ac:dyDescent="0.4"/>
  <cols>
    <col min="1" max="1" width="5.3984375" style="63" customWidth="1"/>
    <col min="2" max="2" width="40.8984375" style="62" customWidth="1"/>
    <col min="3" max="3" width="23.5" style="62" customWidth="1"/>
    <col min="4" max="4" width="86.09765625" style="62" bestFit="1" customWidth="1"/>
    <col min="5" max="16384" width="8.09765625" style="62"/>
  </cols>
  <sheetData>
    <row r="1" spans="1:4" s="69" customFormat="1" x14ac:dyDescent="0.4">
      <c r="A1" s="69" t="s">
        <v>110</v>
      </c>
      <c r="B1" s="69" t="s">
        <v>111</v>
      </c>
      <c r="D1" s="69" t="s">
        <v>166</v>
      </c>
    </row>
    <row r="2" spans="1:4" s="66" customFormat="1" x14ac:dyDescent="0.4">
      <c r="A2" s="66" t="s">
        <v>112</v>
      </c>
      <c r="D2" s="66" t="s">
        <v>113</v>
      </c>
    </row>
    <row r="3" spans="1:4" x14ac:dyDescent="0.4">
      <c r="A3" s="61">
        <v>1</v>
      </c>
      <c r="B3" s="67" t="s">
        <v>114</v>
      </c>
      <c r="C3" s="62" t="s">
        <v>145</v>
      </c>
      <c r="D3" s="62" t="s">
        <v>167</v>
      </c>
    </row>
    <row r="4" spans="1:4" x14ac:dyDescent="0.4">
      <c r="A4" s="63">
        <v>2</v>
      </c>
      <c r="B4" s="67" t="s">
        <v>115</v>
      </c>
      <c r="C4" s="62" t="s">
        <v>145</v>
      </c>
      <c r="D4" s="62" t="s">
        <v>167</v>
      </c>
    </row>
    <row r="5" spans="1:4" x14ac:dyDescent="0.4">
      <c r="A5" s="61">
        <v>3</v>
      </c>
      <c r="B5" s="67" t="s">
        <v>116</v>
      </c>
      <c r="C5" s="67" t="s">
        <v>117</v>
      </c>
      <c r="D5" s="62" t="s">
        <v>168</v>
      </c>
    </row>
    <row r="6" spans="1:4" x14ac:dyDescent="0.4">
      <c r="A6" s="63">
        <v>4</v>
      </c>
      <c r="B6" s="67" t="s">
        <v>118</v>
      </c>
      <c r="C6" s="67" t="s">
        <v>117</v>
      </c>
      <c r="D6" s="62" t="s">
        <v>168</v>
      </c>
    </row>
    <row r="7" spans="1:4" x14ac:dyDescent="0.4">
      <c r="A7" s="61">
        <v>5</v>
      </c>
      <c r="B7" s="67" t="s">
        <v>119</v>
      </c>
      <c r="C7" s="67" t="s">
        <v>117</v>
      </c>
      <c r="D7" s="62" t="s">
        <v>168</v>
      </c>
    </row>
    <row r="8" spans="1:4" x14ac:dyDescent="0.4">
      <c r="A8" s="63">
        <v>6</v>
      </c>
      <c r="B8" s="67" t="s">
        <v>120</v>
      </c>
      <c r="C8" s="67" t="s">
        <v>117</v>
      </c>
      <c r="D8" s="62" t="s">
        <v>168</v>
      </c>
    </row>
    <row r="9" spans="1:4" x14ac:dyDescent="0.4">
      <c r="A9" s="61">
        <v>7</v>
      </c>
      <c r="B9" s="67" t="s">
        <v>121</v>
      </c>
      <c r="C9" s="67" t="s">
        <v>117</v>
      </c>
      <c r="D9" s="62" t="s">
        <v>168</v>
      </c>
    </row>
    <row r="10" spans="1:4" x14ac:dyDescent="0.4">
      <c r="A10" s="63">
        <v>8</v>
      </c>
      <c r="B10" s="67" t="s">
        <v>122</v>
      </c>
      <c r="C10" s="67" t="s">
        <v>117</v>
      </c>
      <c r="D10" s="62" t="s">
        <v>168</v>
      </c>
    </row>
    <row r="11" spans="1:4" x14ac:dyDescent="0.4">
      <c r="A11" s="61">
        <v>9</v>
      </c>
      <c r="B11" s="67" t="s">
        <v>123</v>
      </c>
      <c r="C11" s="67" t="s">
        <v>117</v>
      </c>
      <c r="D11" s="62" t="s">
        <v>168</v>
      </c>
    </row>
    <row r="12" spans="1:4" x14ac:dyDescent="0.4">
      <c r="A12" s="63">
        <v>10</v>
      </c>
      <c r="B12" s="64" t="s">
        <v>136</v>
      </c>
      <c r="C12" s="64" t="s">
        <v>142</v>
      </c>
      <c r="D12" s="62" t="s">
        <v>152</v>
      </c>
    </row>
    <row r="13" spans="1:4" x14ac:dyDescent="0.4">
      <c r="A13" s="61">
        <v>11</v>
      </c>
      <c r="B13" s="67" t="s">
        <v>124</v>
      </c>
      <c r="C13" s="67" t="s">
        <v>117</v>
      </c>
      <c r="D13" s="62" t="s">
        <v>125</v>
      </c>
    </row>
    <row r="15" spans="1:4" s="66" customFormat="1" x14ac:dyDescent="0.4">
      <c r="A15" s="66" t="s">
        <v>126</v>
      </c>
      <c r="D15" s="66" t="s">
        <v>127</v>
      </c>
    </row>
    <row r="16" spans="1:4" x14ac:dyDescent="0.4">
      <c r="A16" s="63">
        <v>1</v>
      </c>
      <c r="B16" s="67" t="s">
        <v>128</v>
      </c>
      <c r="C16" s="67" t="s">
        <v>117</v>
      </c>
      <c r="D16" s="62" t="s">
        <v>169</v>
      </c>
    </row>
    <row r="17" spans="1:4" s="65" customFormat="1" x14ac:dyDescent="0.4">
      <c r="A17" s="68">
        <v>2</v>
      </c>
      <c r="B17" s="67" t="s">
        <v>129</v>
      </c>
      <c r="C17" s="67" t="s">
        <v>117</v>
      </c>
      <c r="D17" s="62" t="s">
        <v>169</v>
      </c>
    </row>
    <row r="18" spans="1:4" s="65" customFormat="1" x14ac:dyDescent="0.4">
      <c r="A18" s="63">
        <v>3</v>
      </c>
      <c r="B18" s="67" t="s">
        <v>130</v>
      </c>
      <c r="C18" s="67" t="s">
        <v>117</v>
      </c>
      <c r="D18" s="67" t="s">
        <v>130</v>
      </c>
    </row>
    <row r="19" spans="1:4" s="65" customFormat="1" x14ac:dyDescent="0.4">
      <c r="A19" s="63">
        <v>4</v>
      </c>
      <c r="B19" s="67" t="s">
        <v>143</v>
      </c>
      <c r="C19" s="67" t="s">
        <v>144</v>
      </c>
      <c r="D19" s="62" t="s">
        <v>147</v>
      </c>
    </row>
    <row r="20" spans="1:4" s="65" customFormat="1" x14ac:dyDescent="0.4">
      <c r="A20" s="63"/>
      <c r="B20" s="67"/>
      <c r="C20" s="67"/>
      <c r="D20" s="62" t="s">
        <v>148</v>
      </c>
    </row>
    <row r="21" spans="1:4" s="65" customFormat="1" x14ac:dyDescent="0.4">
      <c r="A21" s="63"/>
      <c r="B21" s="67"/>
      <c r="C21" s="67"/>
      <c r="D21" s="62" t="s">
        <v>149</v>
      </c>
    </row>
    <row r="22" spans="1:4" s="65" customFormat="1" ht="42" x14ac:dyDescent="0.4">
      <c r="A22" s="63"/>
      <c r="B22" s="67"/>
      <c r="C22" s="67"/>
      <c r="D22" s="71" t="s">
        <v>150</v>
      </c>
    </row>
    <row r="23" spans="1:4" s="65" customFormat="1" x14ac:dyDescent="0.4">
      <c r="A23" s="63"/>
      <c r="B23" s="67"/>
      <c r="C23" s="67"/>
      <c r="D23" s="70" t="s">
        <v>151</v>
      </c>
    </row>
    <row r="24" spans="1:4" s="65" customFormat="1" x14ac:dyDescent="0.4">
      <c r="A24" s="68">
        <v>5</v>
      </c>
      <c r="B24" s="67" t="s">
        <v>131</v>
      </c>
      <c r="C24" s="62" t="s">
        <v>132</v>
      </c>
      <c r="D24" s="62" t="s">
        <v>146</v>
      </c>
    </row>
    <row r="25" spans="1:4" s="65" customFormat="1" x14ac:dyDescent="0.4">
      <c r="A25" s="68"/>
      <c r="B25" s="67"/>
      <c r="C25" s="62"/>
      <c r="D25" s="62" t="s">
        <v>133</v>
      </c>
    </row>
    <row r="26" spans="1:4" s="65" customFormat="1" x14ac:dyDescent="0.4">
      <c r="A26" s="68"/>
      <c r="B26" s="67"/>
      <c r="C26" s="62"/>
      <c r="D26" s="62" t="s">
        <v>134</v>
      </c>
    </row>
    <row r="27" spans="1:4" x14ac:dyDescent="0.4">
      <c r="A27" s="63">
        <v>6</v>
      </c>
      <c r="B27" s="67" t="s">
        <v>36</v>
      </c>
      <c r="C27" s="62" t="s">
        <v>132</v>
      </c>
      <c r="D27" s="62" t="s">
        <v>146</v>
      </c>
    </row>
    <row r="28" spans="1:4" x14ac:dyDescent="0.4">
      <c r="B28" s="67"/>
      <c r="D28" s="62" t="s">
        <v>135</v>
      </c>
    </row>
    <row r="29" spans="1:4" x14ac:dyDescent="0.4">
      <c r="A29" s="63">
        <v>7</v>
      </c>
      <c r="B29" s="64" t="s">
        <v>137</v>
      </c>
      <c r="C29" s="64" t="s">
        <v>142</v>
      </c>
      <c r="D29" s="62" t="s">
        <v>152</v>
      </c>
    </row>
    <row r="30" spans="1:4" x14ac:dyDescent="0.4">
      <c r="A30" s="63">
        <v>8</v>
      </c>
      <c r="B30" s="64" t="s">
        <v>138</v>
      </c>
      <c r="C30" s="64" t="s">
        <v>142</v>
      </c>
      <c r="D30" s="62" t="s">
        <v>152</v>
      </c>
    </row>
    <row r="31" spans="1:4" x14ac:dyDescent="0.4">
      <c r="A31" s="63">
        <v>9</v>
      </c>
      <c r="B31" s="64" t="s">
        <v>139</v>
      </c>
      <c r="C31" s="64" t="s">
        <v>142</v>
      </c>
      <c r="D31" s="62" t="s">
        <v>152</v>
      </c>
    </row>
    <row r="32" spans="1:4" x14ac:dyDescent="0.4">
      <c r="A32" s="63">
        <v>10</v>
      </c>
      <c r="B32" s="62" t="s">
        <v>140</v>
      </c>
      <c r="C32" s="62" t="s">
        <v>117</v>
      </c>
    </row>
    <row r="33" spans="1:3" x14ac:dyDescent="0.4">
      <c r="A33" s="63">
        <v>11</v>
      </c>
      <c r="B33" s="62" t="s">
        <v>25</v>
      </c>
      <c r="C33" s="62" t="s">
        <v>117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93C2D-90EE-4E2B-BF45-610D549EB9C8}">
  <dimension ref="A1:D39"/>
  <sheetViews>
    <sheetView workbookViewId="0">
      <selection activeCell="C42" sqref="C42"/>
    </sheetView>
  </sheetViews>
  <sheetFormatPr defaultRowHeight="24.6" x14ac:dyDescent="0.7"/>
  <cols>
    <col min="1" max="1" width="32.8984375" bestFit="1" customWidth="1"/>
    <col min="2" max="4" width="16.19921875" style="2" customWidth="1"/>
  </cols>
  <sheetData>
    <row r="1" spans="1:4" x14ac:dyDescent="0.7">
      <c r="A1" s="1" t="s">
        <v>26</v>
      </c>
    </row>
    <row r="2" spans="1:4" x14ac:dyDescent="0.7">
      <c r="A2" s="16" t="s">
        <v>27</v>
      </c>
      <c r="B2" s="22" t="s">
        <v>28</v>
      </c>
      <c r="C2" s="22" t="s">
        <v>29</v>
      </c>
      <c r="D2" s="22" t="s">
        <v>30</v>
      </c>
    </row>
    <row r="3" spans="1:4" x14ac:dyDescent="0.7">
      <c r="A3" t="s">
        <v>31</v>
      </c>
      <c r="D3" s="17">
        <f>B3+C3</f>
        <v>0</v>
      </c>
    </row>
    <row r="4" spans="1:4" x14ac:dyDescent="0.7">
      <c r="A4" s="21" t="s">
        <v>39</v>
      </c>
      <c r="D4" s="17"/>
    </row>
    <row r="5" spans="1:4" x14ac:dyDescent="0.7">
      <c r="A5" s="21" t="s">
        <v>40</v>
      </c>
      <c r="D5" s="17"/>
    </row>
    <row r="6" spans="1:4" x14ac:dyDescent="0.7">
      <c r="A6" s="21" t="s">
        <v>41</v>
      </c>
      <c r="D6" s="17"/>
    </row>
    <row r="7" spans="1:4" x14ac:dyDescent="0.7">
      <c r="A7" s="21" t="s">
        <v>42</v>
      </c>
      <c r="D7" s="17"/>
    </row>
    <row r="8" spans="1:4" x14ac:dyDescent="0.7">
      <c r="A8" s="21" t="s">
        <v>43</v>
      </c>
      <c r="D8" s="17"/>
    </row>
    <row r="9" spans="1:4" x14ac:dyDescent="0.7">
      <c r="A9" s="21" t="s">
        <v>44</v>
      </c>
      <c r="D9" s="17"/>
    </row>
    <row r="10" spans="1:4" x14ac:dyDescent="0.7">
      <c r="A10" s="21" t="s">
        <v>45</v>
      </c>
      <c r="D10" s="17"/>
    </row>
    <row r="11" spans="1:4" x14ac:dyDescent="0.7">
      <c r="A11" s="21" t="s">
        <v>46</v>
      </c>
      <c r="D11" s="17"/>
    </row>
    <row r="12" spans="1:4" x14ac:dyDescent="0.7">
      <c r="A12" s="21" t="s">
        <v>47</v>
      </c>
      <c r="D12" s="17"/>
    </row>
    <row r="13" spans="1:4" x14ac:dyDescent="0.7">
      <c r="A13" s="21" t="s">
        <v>48</v>
      </c>
      <c r="D13" s="17"/>
    </row>
    <row r="14" spans="1:4" x14ac:dyDescent="0.7">
      <c r="A14" s="21" t="s">
        <v>49</v>
      </c>
      <c r="D14" s="17"/>
    </row>
    <row r="15" spans="1:4" x14ac:dyDescent="0.7">
      <c r="A15" s="21" t="s">
        <v>50</v>
      </c>
      <c r="D15" s="17"/>
    </row>
    <row r="16" spans="1:4" x14ac:dyDescent="0.7">
      <c r="A16" s="21" t="s">
        <v>51</v>
      </c>
      <c r="D16" s="17"/>
    </row>
    <row r="17" spans="1:4" x14ac:dyDescent="0.7">
      <c r="A17" t="s">
        <v>32</v>
      </c>
      <c r="D17" s="17">
        <f t="shared" ref="D17:D39" si="0">B17+C17</f>
        <v>0</v>
      </c>
    </row>
    <row r="18" spans="1:4" x14ac:dyDescent="0.7">
      <c r="A18" t="s">
        <v>33</v>
      </c>
      <c r="D18" s="17">
        <f t="shared" si="0"/>
        <v>0</v>
      </c>
    </row>
    <row r="19" spans="1:4" x14ac:dyDescent="0.7">
      <c r="A19" t="s">
        <v>34</v>
      </c>
      <c r="D19" s="17">
        <f t="shared" si="0"/>
        <v>0</v>
      </c>
    </row>
    <row r="20" spans="1:4" x14ac:dyDescent="0.7">
      <c r="A20" s="21" t="s">
        <v>52</v>
      </c>
      <c r="D20" s="17"/>
    </row>
    <row r="21" spans="1:4" x14ac:dyDescent="0.7">
      <c r="A21" s="21" t="s">
        <v>53</v>
      </c>
      <c r="D21" s="17"/>
    </row>
    <row r="22" spans="1:4" x14ac:dyDescent="0.7">
      <c r="A22" s="21" t="s">
        <v>54</v>
      </c>
      <c r="D22" s="17"/>
    </row>
    <row r="23" spans="1:4" x14ac:dyDescent="0.7">
      <c r="A23" s="21" t="s">
        <v>55</v>
      </c>
      <c r="D23" s="17"/>
    </row>
    <row r="24" spans="1:4" x14ac:dyDescent="0.7">
      <c r="A24" s="21" t="s">
        <v>56</v>
      </c>
      <c r="D24" s="17"/>
    </row>
    <row r="25" spans="1:4" x14ac:dyDescent="0.7">
      <c r="A25" s="21" t="s">
        <v>57</v>
      </c>
      <c r="D25" s="17"/>
    </row>
    <row r="26" spans="1:4" x14ac:dyDescent="0.7">
      <c r="A26" s="21" t="s">
        <v>58</v>
      </c>
      <c r="D26" s="17"/>
    </row>
    <row r="27" spans="1:4" x14ac:dyDescent="0.7">
      <c r="A27" s="21" t="s">
        <v>59</v>
      </c>
      <c r="D27" s="17"/>
    </row>
    <row r="28" spans="1:4" x14ac:dyDescent="0.7">
      <c r="A28" t="s">
        <v>35</v>
      </c>
      <c r="D28" s="17">
        <f t="shared" si="0"/>
        <v>0</v>
      </c>
    </row>
    <row r="29" spans="1:4" x14ac:dyDescent="0.7">
      <c r="A29" t="s">
        <v>36</v>
      </c>
      <c r="D29" s="17">
        <f t="shared" si="0"/>
        <v>0</v>
      </c>
    </row>
    <row r="30" spans="1:4" x14ac:dyDescent="0.7">
      <c r="A30" s="21" t="s">
        <v>60</v>
      </c>
      <c r="D30" s="17"/>
    </row>
    <row r="31" spans="1:4" x14ac:dyDescent="0.7">
      <c r="A31" s="21" t="s">
        <v>61</v>
      </c>
      <c r="D31" s="17"/>
    </row>
    <row r="32" spans="1:4" x14ac:dyDescent="0.7">
      <c r="A32" s="21" t="s">
        <v>62</v>
      </c>
      <c r="D32" s="17"/>
    </row>
    <row r="33" spans="1:4" x14ac:dyDescent="0.7">
      <c r="A33" s="21" t="s">
        <v>63</v>
      </c>
      <c r="D33" s="17"/>
    </row>
    <row r="34" spans="1:4" x14ac:dyDescent="0.7">
      <c r="A34" t="s">
        <v>37</v>
      </c>
      <c r="D34" s="17">
        <f t="shared" si="0"/>
        <v>0</v>
      </c>
    </row>
    <row r="35" spans="1:4" x14ac:dyDescent="0.7">
      <c r="A35" s="21" t="s">
        <v>64</v>
      </c>
      <c r="D35" s="17"/>
    </row>
    <row r="36" spans="1:4" x14ac:dyDescent="0.7">
      <c r="A36" s="21" t="s">
        <v>65</v>
      </c>
      <c r="D36" s="17"/>
    </row>
    <row r="37" spans="1:4" x14ac:dyDescent="0.7">
      <c r="A37" s="21" t="s">
        <v>66</v>
      </c>
      <c r="D37" s="17"/>
    </row>
    <row r="38" spans="1:4" x14ac:dyDescent="0.7">
      <c r="A38" t="s">
        <v>38</v>
      </c>
      <c r="B38" s="2">
        <v>0</v>
      </c>
      <c r="C38" s="2">
        <v>0</v>
      </c>
      <c r="D38" s="17">
        <f t="shared" si="0"/>
        <v>0</v>
      </c>
    </row>
    <row r="39" spans="1:4" x14ac:dyDescent="0.7">
      <c r="A39" s="19" t="s">
        <v>30</v>
      </c>
      <c r="B39" s="20">
        <f>SUM(B3:B38)</f>
        <v>0</v>
      </c>
      <c r="C39" s="20">
        <f>SUM(C3:C38)</f>
        <v>0</v>
      </c>
      <c r="D39" s="18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041F8-FE5D-42C6-8243-C8FF74EA49D5}">
  <dimension ref="A1:I73"/>
  <sheetViews>
    <sheetView topLeftCell="A16" zoomScaleNormal="100" workbookViewId="0">
      <selection activeCell="G34" sqref="G34"/>
    </sheetView>
  </sheetViews>
  <sheetFormatPr defaultRowHeight="24.6" x14ac:dyDescent="0.7"/>
  <cols>
    <col min="1" max="1" width="47.19921875" customWidth="1"/>
    <col min="2" max="2" width="14.69921875" style="2" bestFit="1" customWidth="1"/>
    <col min="3" max="3" width="11.19921875" style="2" customWidth="1"/>
    <col min="4" max="4" width="14.59765625" style="2" customWidth="1"/>
    <col min="5" max="5" width="4.8984375" customWidth="1"/>
    <col min="6" max="6" width="33.19921875" style="41" customWidth="1"/>
    <col min="7" max="8" width="11.8984375" style="49" customWidth="1"/>
  </cols>
  <sheetData>
    <row r="1" spans="1:9" ht="49.2" x14ac:dyDescent="0.7">
      <c r="A1" s="54" t="s">
        <v>0</v>
      </c>
      <c r="B1" s="55" t="s">
        <v>2</v>
      </c>
      <c r="C1" s="55" t="s">
        <v>1</v>
      </c>
      <c r="D1" s="55" t="s">
        <v>3</v>
      </c>
      <c r="E1" s="56"/>
      <c r="F1" s="57" t="s">
        <v>27</v>
      </c>
      <c r="G1" s="58" t="s">
        <v>28</v>
      </c>
      <c r="H1" s="58" t="s">
        <v>29</v>
      </c>
      <c r="I1" s="45"/>
    </row>
    <row r="2" spans="1:9" x14ac:dyDescent="0.7">
      <c r="A2" s="3" t="s">
        <v>4</v>
      </c>
      <c r="B2" s="4">
        <f>((G2+H2)/2)/22</f>
        <v>525092.68681818177</v>
      </c>
      <c r="C2" s="7">
        <v>4</v>
      </c>
      <c r="D2" s="5">
        <f>B2*C2</f>
        <v>2100370.7472727271</v>
      </c>
      <c r="F2" s="46" t="s">
        <v>64</v>
      </c>
      <c r="G2" s="50">
        <v>2745750</v>
      </c>
      <c r="H2" s="50">
        <v>20358328.219999999</v>
      </c>
      <c r="I2" s="45"/>
    </row>
    <row r="3" spans="1:9" x14ac:dyDescent="0.7">
      <c r="A3" s="3" t="s">
        <v>5</v>
      </c>
      <c r="B3" s="4">
        <f>((G3+H3)/2)/22</f>
        <v>99412.435909090898</v>
      </c>
      <c r="C3" s="7">
        <v>4</v>
      </c>
      <c r="D3" s="5">
        <f t="shared" ref="D3:D12" si="0">B3*C3</f>
        <v>397649.74363636359</v>
      </c>
      <c r="F3" s="46" t="s">
        <v>65</v>
      </c>
      <c r="G3" s="50">
        <v>0</v>
      </c>
      <c r="H3" s="50">
        <v>4374147.18</v>
      </c>
      <c r="I3" s="45"/>
    </row>
    <row r="4" spans="1:9" x14ac:dyDescent="0.7">
      <c r="A4" s="3" t="s">
        <v>6</v>
      </c>
      <c r="B4" s="4">
        <f>(H4/22)</f>
        <v>22272.727272727272</v>
      </c>
      <c r="C4" s="7">
        <v>1</v>
      </c>
      <c r="D4" s="5">
        <f t="shared" si="0"/>
        <v>22272.727272727272</v>
      </c>
      <c r="F4" s="46" t="s">
        <v>93</v>
      </c>
      <c r="G4" s="50">
        <v>0</v>
      </c>
      <c r="H4" s="50">
        <v>490000</v>
      </c>
      <c r="I4" s="45"/>
    </row>
    <row r="5" spans="1:9" x14ac:dyDescent="0.7">
      <c r="A5" s="3" t="s">
        <v>7</v>
      </c>
      <c r="B5" s="4">
        <f>((G5+H5)/2)/22</f>
        <v>1812989.344318182</v>
      </c>
      <c r="C5" s="7">
        <v>4</v>
      </c>
      <c r="D5" s="5">
        <f t="shared" si="0"/>
        <v>7251957.3772727279</v>
      </c>
      <c r="F5" s="46" t="s">
        <v>81</v>
      </c>
      <c r="G5" s="50">
        <f>1990820+22491400</f>
        <v>24482220</v>
      </c>
      <c r="H5" s="50">
        <f>47947689.66+3549700+2130791.49+101130+1560000</f>
        <v>55289311.149999999</v>
      </c>
      <c r="I5" s="45"/>
    </row>
    <row r="6" spans="1:9" x14ac:dyDescent="0.7">
      <c r="A6" s="3" t="s">
        <v>141</v>
      </c>
      <c r="B6" s="4">
        <f t="shared" ref="B6:B10" si="1">((G6+H6)/2)/22</f>
        <v>431818.18181818182</v>
      </c>
      <c r="C6" s="7">
        <v>4</v>
      </c>
      <c r="D6" s="5">
        <f t="shared" si="0"/>
        <v>1727272.7272727273</v>
      </c>
      <c r="F6" s="46" t="s">
        <v>83</v>
      </c>
      <c r="G6" s="50">
        <v>9000000</v>
      </c>
      <c r="H6" s="50">
        <v>10000000</v>
      </c>
      <c r="I6" s="45"/>
    </row>
    <row r="7" spans="1:9" x14ac:dyDescent="0.7">
      <c r="A7" s="3" t="s">
        <v>8</v>
      </c>
      <c r="B7" s="4">
        <f>((G7+H7)/2)/22</f>
        <v>26073.23340909091</v>
      </c>
      <c r="C7" s="7">
        <v>4</v>
      </c>
      <c r="D7" s="5">
        <f t="shared" si="0"/>
        <v>104292.93363636364</v>
      </c>
      <c r="F7" s="46" t="s">
        <v>84</v>
      </c>
      <c r="G7" s="50">
        <v>0</v>
      </c>
      <c r="H7" s="50">
        <f>774784.15+281598.47+90839.65</f>
        <v>1147222.27</v>
      </c>
      <c r="I7" s="45"/>
    </row>
    <row r="8" spans="1:9" x14ac:dyDescent="0.7">
      <c r="A8" s="3" t="s">
        <v>9</v>
      </c>
      <c r="B8" s="4">
        <f t="shared" si="1"/>
        <v>372339.61272727273</v>
      </c>
      <c r="C8" s="7">
        <v>4</v>
      </c>
      <c r="D8" s="5">
        <f t="shared" si="0"/>
        <v>1489358.4509090909</v>
      </c>
      <c r="F8" s="46" t="s">
        <v>85</v>
      </c>
      <c r="G8" s="50">
        <v>0</v>
      </c>
      <c r="H8" s="50">
        <f>9501642.96+6881300</f>
        <v>16382942.960000001</v>
      </c>
      <c r="I8" s="45"/>
    </row>
    <row r="9" spans="1:9" x14ac:dyDescent="0.7">
      <c r="A9" s="3" t="s">
        <v>10</v>
      </c>
      <c r="B9" s="4">
        <f t="shared" si="1"/>
        <v>4545.454545454545</v>
      </c>
      <c r="C9" s="7">
        <v>4</v>
      </c>
      <c r="D9" s="5">
        <f t="shared" si="0"/>
        <v>18181.81818181818</v>
      </c>
      <c r="F9" s="46" t="s">
        <v>92</v>
      </c>
      <c r="G9" s="50">
        <v>0</v>
      </c>
      <c r="H9" s="50">
        <f>126800+73200</f>
        <v>200000</v>
      </c>
      <c r="I9" s="45"/>
    </row>
    <row r="10" spans="1:9" s="45" customFormat="1" x14ac:dyDescent="0.7">
      <c r="A10" s="42" t="s">
        <v>11</v>
      </c>
      <c r="B10" s="4">
        <f t="shared" si="1"/>
        <v>33124.772727272728</v>
      </c>
      <c r="C10" s="44">
        <v>4</v>
      </c>
      <c r="D10" s="5">
        <f t="shared" si="0"/>
        <v>132499.09090909091</v>
      </c>
      <c r="F10" s="46" t="s">
        <v>89</v>
      </c>
      <c r="G10" s="50">
        <v>0</v>
      </c>
      <c r="H10" s="50">
        <f>206000+1251490</f>
        <v>1457490</v>
      </c>
    </row>
    <row r="11" spans="1:9" s="88" customFormat="1" x14ac:dyDescent="0.7">
      <c r="A11" s="84" t="s">
        <v>162</v>
      </c>
      <c r="B11" s="85">
        <f>+H11</f>
        <v>16000</v>
      </c>
      <c r="C11" s="86">
        <v>1</v>
      </c>
      <c r="D11" s="87">
        <f>+C11*B11</f>
        <v>16000</v>
      </c>
      <c r="F11" s="89" t="s">
        <v>161</v>
      </c>
      <c r="G11" s="90"/>
      <c r="H11" s="90">
        <v>16000</v>
      </c>
    </row>
    <row r="12" spans="1:9" s="45" customFormat="1" x14ac:dyDescent="0.7">
      <c r="A12" s="42" t="s">
        <v>163</v>
      </c>
      <c r="B12" s="43">
        <f>(B71/22)/2</f>
        <v>159906.02499999999</v>
      </c>
      <c r="C12" s="44">
        <v>4</v>
      </c>
      <c r="D12" s="5">
        <f t="shared" si="0"/>
        <v>639624.1</v>
      </c>
      <c r="F12" s="46" t="s">
        <v>86</v>
      </c>
      <c r="G12" s="50"/>
      <c r="H12" s="50"/>
    </row>
    <row r="13" spans="1:9" x14ac:dyDescent="0.7">
      <c r="A13" s="76" t="s">
        <v>12</v>
      </c>
      <c r="B13" s="76"/>
      <c r="C13" s="76"/>
      <c r="D13" s="6">
        <f>SUM(D2:D12)</f>
        <v>13899479.716363637</v>
      </c>
      <c r="F13" s="46"/>
      <c r="G13" s="50"/>
      <c r="H13" s="50"/>
      <c r="I13" s="45"/>
    </row>
    <row r="16" spans="1:9" ht="52.95" customHeight="1" x14ac:dyDescent="0.7">
      <c r="A16" s="59" t="s">
        <v>13</v>
      </c>
      <c r="B16" s="60" t="s">
        <v>19</v>
      </c>
      <c r="C16" s="60" t="s">
        <v>18</v>
      </c>
      <c r="D16" s="60" t="s">
        <v>3</v>
      </c>
    </row>
    <row r="17" spans="1:8" x14ac:dyDescent="0.7">
      <c r="A17" s="42" t="s">
        <v>15</v>
      </c>
      <c r="B17" s="43">
        <f>(G17+H17)/B73</f>
        <v>255.45010504201682</v>
      </c>
      <c r="C17" s="44">
        <v>4</v>
      </c>
      <c r="D17" s="5">
        <f>B17*C17</f>
        <v>1021.8004201680673</v>
      </c>
      <c r="F17" s="41" t="s">
        <v>82</v>
      </c>
      <c r="G17" s="49">
        <v>1469273</v>
      </c>
      <c r="H17" s="49">
        <v>476235</v>
      </c>
    </row>
    <row r="18" spans="1:8" x14ac:dyDescent="0.7">
      <c r="A18" s="42" t="s">
        <v>16</v>
      </c>
      <c r="B18" s="43">
        <f>G18/B73</f>
        <v>625.2007457983193</v>
      </c>
      <c r="C18" s="44">
        <v>2</v>
      </c>
      <c r="D18" s="5">
        <f t="shared" ref="D18:D38" si="2">B18*C18</f>
        <v>1250.4014915966386</v>
      </c>
      <c r="F18" s="41" t="s">
        <v>108</v>
      </c>
      <c r="G18" s="49">
        <f>968784+309192+329640+246465.62+15480+230070+828344.26+289948+675224+185826+211131+175208+63040+18790+28520+163980+6996+3520+8770+2600</f>
        <v>4761528.88</v>
      </c>
    </row>
    <row r="19" spans="1:8" x14ac:dyDescent="0.7">
      <c r="A19" s="53" t="s">
        <v>17</v>
      </c>
      <c r="B19" s="43">
        <v>0</v>
      </c>
      <c r="C19" s="44"/>
      <c r="D19" s="5">
        <f t="shared" si="2"/>
        <v>0</v>
      </c>
      <c r="E19" s="45"/>
    </row>
    <row r="20" spans="1:8" s="45" customFormat="1" x14ac:dyDescent="0.7">
      <c r="A20" s="42" t="s">
        <v>156</v>
      </c>
      <c r="B20" s="43">
        <v>1500</v>
      </c>
      <c r="C20" s="44">
        <v>4</v>
      </c>
      <c r="D20" s="5">
        <f t="shared" si="2"/>
        <v>6000</v>
      </c>
      <c r="F20" s="62" t="s">
        <v>164</v>
      </c>
      <c r="G20" s="50"/>
      <c r="H20" s="50"/>
    </row>
    <row r="21" spans="1:8" s="45" customFormat="1" x14ac:dyDescent="0.7">
      <c r="A21" s="42" t="s">
        <v>157</v>
      </c>
      <c r="B21" s="43">
        <v>1200</v>
      </c>
      <c r="C21" s="44">
        <v>4</v>
      </c>
      <c r="D21" s="5">
        <f t="shared" si="2"/>
        <v>4800</v>
      </c>
      <c r="F21" s="62" t="s">
        <v>165</v>
      </c>
      <c r="G21" s="50"/>
      <c r="H21" s="50"/>
    </row>
    <row r="22" spans="1:8" s="45" customFormat="1" x14ac:dyDescent="0.7">
      <c r="A22" s="42" t="s">
        <v>170</v>
      </c>
      <c r="B22" s="43"/>
      <c r="C22" s="44"/>
      <c r="D22" s="32"/>
    </row>
    <row r="23" spans="1:8" s="45" customFormat="1" x14ac:dyDescent="0.7">
      <c r="A23" s="91" t="s">
        <v>153</v>
      </c>
      <c r="B23" s="43"/>
      <c r="C23" s="44"/>
      <c r="D23" s="32"/>
    </row>
    <row r="24" spans="1:8" s="45" customFormat="1" x14ac:dyDescent="0.7">
      <c r="A24" s="91" t="s">
        <v>154</v>
      </c>
      <c r="B24" s="43"/>
      <c r="C24" s="44"/>
      <c r="D24" s="32"/>
    </row>
    <row r="25" spans="1:8" x14ac:dyDescent="0.7">
      <c r="A25" s="3" t="s">
        <v>171</v>
      </c>
      <c r="B25" s="4"/>
      <c r="C25" s="7"/>
      <c r="D25" s="5"/>
      <c r="F25"/>
      <c r="G25"/>
      <c r="H25"/>
    </row>
    <row r="26" spans="1:8" x14ac:dyDescent="0.7">
      <c r="A26" s="74" t="s">
        <v>158</v>
      </c>
      <c r="B26" s="4">
        <v>1200</v>
      </c>
      <c r="C26" s="7">
        <v>1</v>
      </c>
      <c r="D26" s="5">
        <f t="shared" si="2"/>
        <v>1200</v>
      </c>
      <c r="F26"/>
      <c r="G26"/>
      <c r="H26"/>
    </row>
    <row r="27" spans="1:8" x14ac:dyDescent="0.7">
      <c r="A27" s="74" t="s">
        <v>159</v>
      </c>
      <c r="B27" s="4">
        <v>1000</v>
      </c>
      <c r="C27" s="7">
        <v>1</v>
      </c>
      <c r="D27" s="5">
        <f t="shared" si="2"/>
        <v>1000</v>
      </c>
      <c r="F27"/>
      <c r="G27"/>
      <c r="H27"/>
    </row>
    <row r="28" spans="1:8" x14ac:dyDescent="0.7">
      <c r="A28" s="74" t="s">
        <v>160</v>
      </c>
      <c r="B28" s="4">
        <v>800</v>
      </c>
      <c r="C28" s="7">
        <v>1</v>
      </c>
      <c r="D28" s="5">
        <f t="shared" si="2"/>
        <v>800</v>
      </c>
      <c r="F28"/>
      <c r="G28"/>
      <c r="H28"/>
    </row>
    <row r="29" spans="1:8" x14ac:dyDescent="0.7">
      <c r="A29" s="74" t="s">
        <v>155</v>
      </c>
      <c r="B29" s="4">
        <v>2500</v>
      </c>
      <c r="C29" s="7">
        <v>1</v>
      </c>
      <c r="D29" s="5">
        <f t="shared" si="2"/>
        <v>2500</v>
      </c>
      <c r="F29"/>
      <c r="G29"/>
      <c r="H29"/>
    </row>
    <row r="30" spans="1:8" x14ac:dyDescent="0.7">
      <c r="A30" s="74" t="s">
        <v>154</v>
      </c>
      <c r="B30" s="4">
        <v>1500</v>
      </c>
      <c r="C30" s="7">
        <v>1</v>
      </c>
      <c r="D30" s="5">
        <f t="shared" si="2"/>
        <v>1500</v>
      </c>
      <c r="F30"/>
      <c r="G30"/>
      <c r="H30"/>
    </row>
    <row r="31" spans="1:8" x14ac:dyDescent="0.7">
      <c r="A31" s="3" t="s">
        <v>172</v>
      </c>
      <c r="B31" s="4"/>
      <c r="C31" s="7"/>
      <c r="D31" s="5"/>
      <c r="F31"/>
      <c r="G31"/>
      <c r="H31"/>
    </row>
    <row r="32" spans="1:8" x14ac:dyDescent="0.7">
      <c r="A32" s="74" t="s">
        <v>158</v>
      </c>
      <c r="B32" s="4">
        <v>1500</v>
      </c>
      <c r="C32" s="7">
        <v>1</v>
      </c>
      <c r="D32" s="5">
        <f t="shared" si="2"/>
        <v>1500</v>
      </c>
      <c r="F32"/>
      <c r="G32"/>
      <c r="H32"/>
    </row>
    <row r="33" spans="1:8" x14ac:dyDescent="0.7">
      <c r="A33" s="74" t="s">
        <v>159</v>
      </c>
      <c r="B33" s="4">
        <v>1000</v>
      </c>
      <c r="C33" s="7">
        <v>1</v>
      </c>
      <c r="D33" s="5">
        <f t="shared" si="2"/>
        <v>1000</v>
      </c>
      <c r="F33"/>
      <c r="G33"/>
      <c r="H33"/>
    </row>
    <row r="34" spans="1:8" x14ac:dyDescent="0.7">
      <c r="A34" s="74" t="s">
        <v>160</v>
      </c>
      <c r="B34" s="4">
        <v>800</v>
      </c>
      <c r="C34" s="7">
        <v>1</v>
      </c>
      <c r="D34" s="5">
        <f t="shared" si="2"/>
        <v>800</v>
      </c>
      <c r="F34"/>
      <c r="G34"/>
      <c r="H34"/>
    </row>
    <row r="35" spans="1:8" x14ac:dyDescent="0.7">
      <c r="A35" s="74" t="s">
        <v>155</v>
      </c>
      <c r="B35" s="4">
        <v>3500</v>
      </c>
      <c r="C35" s="7">
        <v>1</v>
      </c>
      <c r="D35" s="5">
        <f t="shared" si="2"/>
        <v>3500</v>
      </c>
      <c r="F35"/>
      <c r="G35"/>
      <c r="H35"/>
    </row>
    <row r="36" spans="1:8" x14ac:dyDescent="0.7">
      <c r="A36" s="74" t="s">
        <v>154</v>
      </c>
      <c r="B36" s="4">
        <v>2000</v>
      </c>
      <c r="C36" s="7">
        <v>1</v>
      </c>
      <c r="D36" s="5">
        <f t="shared" si="2"/>
        <v>2000</v>
      </c>
      <c r="F36"/>
      <c r="G36"/>
      <c r="H36"/>
    </row>
    <row r="37" spans="1:8" x14ac:dyDescent="0.7">
      <c r="A37" s="3" t="s">
        <v>173</v>
      </c>
      <c r="B37" s="4">
        <v>1000</v>
      </c>
      <c r="C37" s="7">
        <v>2</v>
      </c>
      <c r="D37" s="5">
        <f t="shared" si="2"/>
        <v>2000</v>
      </c>
      <c r="F37"/>
      <c r="G37"/>
      <c r="H37"/>
    </row>
    <row r="38" spans="1:8" x14ac:dyDescent="0.7">
      <c r="A38" s="75" t="s">
        <v>174</v>
      </c>
      <c r="B38" s="4">
        <v>0</v>
      </c>
      <c r="C38" s="7"/>
      <c r="D38" s="5">
        <f t="shared" si="2"/>
        <v>0</v>
      </c>
      <c r="F38"/>
      <c r="G38"/>
      <c r="H38"/>
    </row>
    <row r="39" spans="1:8" x14ac:dyDescent="0.7">
      <c r="A39" s="77" t="s">
        <v>14</v>
      </c>
      <c r="B39" s="77"/>
      <c r="C39" s="77"/>
      <c r="D39" s="8">
        <f>SUM(D17:D38)</f>
        <v>30872.201911764707</v>
      </c>
      <c r="F39" s="73"/>
    </row>
    <row r="42" spans="1:8" x14ac:dyDescent="0.7">
      <c r="A42" s="12" t="s">
        <v>20</v>
      </c>
      <c r="B42" s="13" t="s">
        <v>3</v>
      </c>
      <c r="C42" s="9"/>
      <c r="D42" s="9"/>
    </row>
    <row r="43" spans="1:8" x14ac:dyDescent="0.7">
      <c r="A43" s="10" t="s">
        <v>21</v>
      </c>
      <c r="B43" s="14">
        <f>D13</f>
        <v>13899479.716363637</v>
      </c>
      <c r="C43" s="9"/>
      <c r="D43" s="9"/>
    </row>
    <row r="44" spans="1:8" x14ac:dyDescent="0.7">
      <c r="A44" s="10" t="s">
        <v>22</v>
      </c>
      <c r="B44" s="14">
        <f>D39</f>
        <v>30872.201911764707</v>
      </c>
      <c r="C44" s="9"/>
      <c r="D44" s="9"/>
    </row>
    <row r="45" spans="1:8" x14ac:dyDescent="0.7">
      <c r="A45" s="10" t="s">
        <v>23</v>
      </c>
      <c r="B45" s="15">
        <f>35000*4</f>
        <v>140000</v>
      </c>
      <c r="C45" s="9"/>
      <c r="D45" s="9"/>
    </row>
    <row r="46" spans="1:8" x14ac:dyDescent="0.7">
      <c r="A46" s="11" t="s">
        <v>24</v>
      </c>
      <c r="B46" s="14">
        <f>B43/(B45-B44)</f>
        <v>127.36882774016215</v>
      </c>
    </row>
    <row r="51" spans="1:8" x14ac:dyDescent="0.7">
      <c r="A51" s="51" t="s">
        <v>87</v>
      </c>
      <c r="B51" s="52"/>
    </row>
    <row r="52" spans="1:8" x14ac:dyDescent="0.7">
      <c r="A52" t="s">
        <v>88</v>
      </c>
      <c r="B52" s="2">
        <v>1052000</v>
      </c>
    </row>
    <row r="53" spans="1:8" x14ac:dyDescent="0.7">
      <c r="A53" t="s">
        <v>90</v>
      </c>
      <c r="B53" s="2">
        <v>40800</v>
      </c>
    </row>
    <row r="54" spans="1:8" x14ac:dyDescent="0.7">
      <c r="A54" t="s">
        <v>91</v>
      </c>
      <c r="B54" s="2">
        <v>29100</v>
      </c>
    </row>
    <row r="55" spans="1:8" x14ac:dyDescent="0.7">
      <c r="A55" t="s">
        <v>56</v>
      </c>
      <c r="B55" s="2">
        <v>1102763</v>
      </c>
    </row>
    <row r="56" spans="1:8" x14ac:dyDescent="0.7">
      <c r="A56" t="s">
        <v>94</v>
      </c>
      <c r="B56" s="2">
        <v>333600</v>
      </c>
    </row>
    <row r="57" spans="1:8" x14ac:dyDescent="0.7">
      <c r="A57" t="s">
        <v>95</v>
      </c>
      <c r="B57" s="2">
        <v>192683</v>
      </c>
    </row>
    <row r="58" spans="1:8" x14ac:dyDescent="0.7">
      <c r="A58" t="s">
        <v>96</v>
      </c>
      <c r="B58" s="2">
        <v>968224.64</v>
      </c>
    </row>
    <row r="59" spans="1:8" s="45" customFormat="1" x14ac:dyDescent="0.7">
      <c r="A59" s="45" t="s">
        <v>97</v>
      </c>
      <c r="B59" s="47">
        <f>286277.97+1082960.89</f>
        <v>1369238.8599999999</v>
      </c>
      <c r="C59" s="47"/>
      <c r="D59" s="47"/>
      <c r="F59" s="46"/>
      <c r="G59" s="50"/>
      <c r="H59" s="50"/>
    </row>
    <row r="60" spans="1:8" s="45" customFormat="1" x14ac:dyDescent="0.7">
      <c r="A60" s="45" t="s">
        <v>98</v>
      </c>
      <c r="B60" s="47">
        <v>217590.92</v>
      </c>
      <c r="C60" s="47"/>
      <c r="D60" s="47"/>
      <c r="F60" s="46"/>
      <c r="G60" s="50"/>
      <c r="H60" s="50"/>
    </row>
    <row r="61" spans="1:8" s="45" customFormat="1" x14ac:dyDescent="0.7">
      <c r="A61" s="45" t="s">
        <v>99</v>
      </c>
      <c r="B61" s="47">
        <f>1017.56+76203</f>
        <v>77220.56</v>
      </c>
      <c r="C61" s="47"/>
      <c r="D61" s="47"/>
      <c r="F61" s="46"/>
      <c r="G61" s="50"/>
      <c r="H61" s="50"/>
    </row>
    <row r="62" spans="1:8" s="45" customFormat="1" x14ac:dyDescent="0.7">
      <c r="A62" s="45" t="s">
        <v>62</v>
      </c>
      <c r="B62" s="47">
        <v>72042.12</v>
      </c>
      <c r="C62" s="47"/>
      <c r="D62" s="47"/>
      <c r="F62" s="46"/>
      <c r="G62" s="50"/>
      <c r="H62" s="50"/>
    </row>
    <row r="63" spans="1:8" s="45" customFormat="1" x14ac:dyDescent="0.7">
      <c r="A63" s="45" t="s">
        <v>100</v>
      </c>
      <c r="B63" s="47">
        <f>536330</f>
        <v>536330</v>
      </c>
      <c r="C63" s="47"/>
      <c r="D63" s="47"/>
      <c r="F63" s="46"/>
      <c r="G63" s="50"/>
      <c r="H63" s="50"/>
    </row>
    <row r="64" spans="1:8" s="45" customFormat="1" x14ac:dyDescent="0.7">
      <c r="A64" s="45" t="s">
        <v>101</v>
      </c>
      <c r="B64" s="47">
        <v>210413</v>
      </c>
      <c r="C64" s="47"/>
      <c r="D64" s="47"/>
      <c r="F64" s="46"/>
      <c r="G64" s="50"/>
      <c r="H64" s="50"/>
    </row>
    <row r="65" spans="1:8" s="45" customFormat="1" x14ac:dyDescent="0.7">
      <c r="A65" s="45" t="s">
        <v>102</v>
      </c>
      <c r="B65" s="47">
        <v>398701</v>
      </c>
      <c r="C65" s="47"/>
      <c r="D65" s="47"/>
      <c r="F65" s="46"/>
      <c r="G65" s="50"/>
      <c r="H65" s="50"/>
    </row>
    <row r="66" spans="1:8" s="45" customFormat="1" x14ac:dyDescent="0.7">
      <c r="A66" s="45" t="s">
        <v>103</v>
      </c>
      <c r="B66" s="47">
        <v>96155</v>
      </c>
      <c r="C66" s="47"/>
      <c r="D66" s="47"/>
      <c r="F66" s="46"/>
      <c r="G66" s="50"/>
      <c r="H66" s="50"/>
    </row>
    <row r="67" spans="1:8" s="45" customFormat="1" x14ac:dyDescent="0.7">
      <c r="A67" s="45" t="s">
        <v>104</v>
      </c>
      <c r="B67" s="47">
        <f>7100+62345</f>
        <v>69445</v>
      </c>
      <c r="C67" s="47"/>
      <c r="D67" s="47"/>
      <c r="F67" s="46"/>
      <c r="G67" s="50"/>
      <c r="H67" s="50"/>
    </row>
    <row r="68" spans="1:8" s="45" customFormat="1" x14ac:dyDescent="0.7">
      <c r="A68" s="45" t="s">
        <v>105</v>
      </c>
      <c r="B68" s="47">
        <f>92335</f>
        <v>92335</v>
      </c>
      <c r="C68" s="47"/>
      <c r="D68" s="47"/>
      <c r="F68" s="46"/>
      <c r="G68" s="50"/>
      <c r="H68" s="50"/>
    </row>
    <row r="69" spans="1:8" s="45" customFormat="1" x14ac:dyDescent="0.7">
      <c r="A69" s="45" t="s">
        <v>106</v>
      </c>
      <c r="B69" s="47">
        <v>87695</v>
      </c>
      <c r="C69" s="47"/>
      <c r="D69" s="47"/>
      <c r="F69" s="46"/>
      <c r="G69" s="50"/>
      <c r="H69" s="50"/>
    </row>
    <row r="70" spans="1:8" s="45" customFormat="1" x14ac:dyDescent="0.7">
      <c r="A70" s="45" t="s">
        <v>107</v>
      </c>
      <c r="B70" s="47">
        <v>89528</v>
      </c>
      <c r="C70" s="47"/>
      <c r="D70" s="47"/>
      <c r="F70" s="46"/>
      <c r="G70" s="50"/>
      <c r="H70" s="50"/>
    </row>
    <row r="71" spans="1:8" s="45" customFormat="1" x14ac:dyDescent="0.7">
      <c r="A71" s="39" t="s">
        <v>109</v>
      </c>
      <c r="B71" s="48">
        <f>SUM(B52:B70)</f>
        <v>7035865.0999999996</v>
      </c>
      <c r="C71" s="47"/>
      <c r="D71" s="47"/>
      <c r="F71" s="46"/>
      <c r="G71" s="50"/>
      <c r="H71" s="50"/>
    </row>
    <row r="72" spans="1:8" x14ac:dyDescent="0.7">
      <c r="B72" s="40"/>
    </row>
    <row r="73" spans="1:8" s="45" customFormat="1" x14ac:dyDescent="0.7">
      <c r="A73" s="39" t="s">
        <v>69</v>
      </c>
      <c r="B73" s="48">
        <v>7616</v>
      </c>
      <c r="C73" s="47"/>
      <c r="D73" s="47"/>
      <c r="F73" s="46"/>
      <c r="G73" s="50"/>
      <c r="H73" s="50"/>
    </row>
  </sheetData>
  <mergeCells count="2">
    <mergeCell ref="A13:C13"/>
    <mergeCell ref="A39:C39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C091-A54B-46C1-B60D-33DDC7C0E9D7}">
  <dimension ref="A1:M11"/>
  <sheetViews>
    <sheetView zoomScale="90" zoomScaleNormal="90" workbookViewId="0">
      <selection activeCell="F13" sqref="F13"/>
    </sheetView>
  </sheetViews>
  <sheetFormatPr defaultRowHeight="24.6" x14ac:dyDescent="0.7"/>
  <cols>
    <col min="1" max="1" width="12.8984375" style="23" customWidth="1"/>
    <col min="2" max="2" width="6.5" style="24" customWidth="1"/>
    <col min="3" max="3" width="13.8984375" style="2" customWidth="1"/>
    <col min="4" max="4" width="11.09765625" style="2" customWidth="1"/>
    <col min="5" max="5" width="15.3984375" style="2" customWidth="1"/>
    <col min="6" max="7" width="15.59765625" style="2" customWidth="1"/>
    <col min="8" max="8" width="9.8984375" style="2" customWidth="1"/>
    <col min="9" max="9" width="14.5" style="2" customWidth="1"/>
    <col min="10" max="10" width="7.59765625" style="2" customWidth="1"/>
    <col min="11" max="11" width="9" style="25"/>
  </cols>
  <sheetData>
    <row r="1" spans="1:13" x14ac:dyDescent="0.7">
      <c r="A1" s="27" t="s">
        <v>67</v>
      </c>
    </row>
    <row r="2" spans="1:13" x14ac:dyDescent="0.7">
      <c r="A2" s="80" t="s">
        <v>68</v>
      </c>
      <c r="B2" s="82" t="s">
        <v>69</v>
      </c>
      <c r="C2" s="81" t="s">
        <v>72</v>
      </c>
      <c r="D2" s="81"/>
      <c r="E2" s="81" t="s">
        <v>73</v>
      </c>
      <c r="F2" s="81"/>
      <c r="G2" s="81"/>
      <c r="H2" s="78" t="s">
        <v>77</v>
      </c>
      <c r="I2" s="79" t="s">
        <v>78</v>
      </c>
      <c r="J2" s="79"/>
      <c r="K2" s="26"/>
    </row>
    <row r="3" spans="1:13" ht="48" customHeight="1" x14ac:dyDescent="0.7">
      <c r="A3" s="80"/>
      <c r="B3" s="83"/>
      <c r="C3" s="28" t="s">
        <v>70</v>
      </c>
      <c r="D3" s="30" t="s">
        <v>71</v>
      </c>
      <c r="E3" s="28" t="s">
        <v>74</v>
      </c>
      <c r="F3" s="28" t="s">
        <v>75</v>
      </c>
      <c r="G3" s="28" t="s">
        <v>76</v>
      </c>
      <c r="H3" s="78"/>
      <c r="I3" s="28" t="s">
        <v>3</v>
      </c>
      <c r="J3" s="33" t="s">
        <v>79</v>
      </c>
      <c r="K3" s="26"/>
      <c r="L3" s="23"/>
      <c r="M3" s="23"/>
    </row>
    <row r="4" spans="1:13" x14ac:dyDescent="0.7">
      <c r="A4" s="29">
        <v>2568</v>
      </c>
      <c r="B4" s="36">
        <v>65</v>
      </c>
      <c r="C4" s="4">
        <f>B4*D4</f>
        <v>4550000</v>
      </c>
      <c r="D4" s="35">
        <f>'บัณฑิตศึกษา-โท'!$B$45/2</f>
        <v>70000</v>
      </c>
      <c r="E4" s="31">
        <f>'บัณฑิตศึกษา-โท'!$B$43/2</f>
        <v>6949739.8581818184</v>
      </c>
      <c r="F4" s="31">
        <f>'บัณฑิตศึกษา-โท'!$B$44/2*มคอ2!B4</f>
        <v>1003346.562132353</v>
      </c>
      <c r="G4" s="4">
        <f>E4+F4</f>
        <v>7953086.4203141714</v>
      </c>
      <c r="H4" s="31">
        <f>'บัณฑิตศึกษา-โท'!$B$46</f>
        <v>127.36882774016215</v>
      </c>
      <c r="I4" s="4">
        <f>C4-G4</f>
        <v>-3403086.4203141714</v>
      </c>
      <c r="J4" s="34">
        <f>I4/C4</f>
        <v>-0.74793108138773001</v>
      </c>
      <c r="L4" s="72"/>
    </row>
    <row r="5" spans="1:13" x14ac:dyDescent="0.7">
      <c r="A5" s="29">
        <v>2569</v>
      </c>
      <c r="B5" s="36">
        <v>130</v>
      </c>
      <c r="C5" s="4">
        <f t="shared" ref="C5:C7" si="0">B5*D5</f>
        <v>9100000</v>
      </c>
      <c r="D5" s="35">
        <f>'บัณฑิตศึกษา-โท'!$B$45/2</f>
        <v>70000</v>
      </c>
      <c r="E5" s="31">
        <f>'บัณฑิตศึกษา-โท'!$B$43/2</f>
        <v>6949739.8581818184</v>
      </c>
      <c r="F5" s="31">
        <f>'บัณฑิตศึกษา-โท'!$B$44/2*มคอ2!B5</f>
        <v>2006693.1242647059</v>
      </c>
      <c r="G5" s="4">
        <f t="shared" ref="G5:G8" si="1">E5+F5</f>
        <v>8956432.9824465252</v>
      </c>
      <c r="H5" s="31">
        <f>'บัณฑิตศึกษา-โท'!$B$46</f>
        <v>127.36882774016215</v>
      </c>
      <c r="I5" s="4">
        <f t="shared" ref="I5:I8" si="2">C5-G5</f>
        <v>143567.01755347475</v>
      </c>
      <c r="J5" s="34">
        <f t="shared" ref="J5:J8" si="3">I5/C5</f>
        <v>1.5776595335546675E-2</v>
      </c>
      <c r="L5" s="72"/>
    </row>
    <row r="6" spans="1:13" x14ac:dyDescent="0.7">
      <c r="A6" s="29">
        <v>2570</v>
      </c>
      <c r="B6" s="36">
        <v>130</v>
      </c>
      <c r="C6" s="4">
        <f t="shared" si="0"/>
        <v>9100000</v>
      </c>
      <c r="D6" s="35">
        <f>'บัณฑิตศึกษา-โท'!$B$45/2</f>
        <v>70000</v>
      </c>
      <c r="E6" s="31">
        <f>'บัณฑิตศึกษา-โท'!$B$43/2</f>
        <v>6949739.8581818184</v>
      </c>
      <c r="F6" s="31">
        <f>'บัณฑิตศึกษา-โท'!$B$44/2*มคอ2!B6</f>
        <v>2006693.1242647059</v>
      </c>
      <c r="G6" s="4">
        <f t="shared" si="1"/>
        <v>8956432.9824465252</v>
      </c>
      <c r="H6" s="31">
        <f>'บัณฑิตศึกษา-โท'!$B$46</f>
        <v>127.36882774016215</v>
      </c>
      <c r="I6" s="4">
        <f t="shared" si="2"/>
        <v>143567.01755347475</v>
      </c>
      <c r="J6" s="34">
        <f t="shared" si="3"/>
        <v>1.5776595335546675E-2</v>
      </c>
      <c r="L6" s="72"/>
    </row>
    <row r="7" spans="1:13" x14ac:dyDescent="0.7">
      <c r="A7" s="29">
        <v>2571</v>
      </c>
      <c r="B7" s="36">
        <v>130</v>
      </c>
      <c r="C7" s="4">
        <f t="shared" si="0"/>
        <v>9100000</v>
      </c>
      <c r="D7" s="35">
        <f>'บัณฑิตศึกษา-โท'!$B$45/2</f>
        <v>70000</v>
      </c>
      <c r="E7" s="31">
        <f>'บัณฑิตศึกษา-โท'!$B$43/2</f>
        <v>6949739.8581818184</v>
      </c>
      <c r="F7" s="31">
        <f>'บัณฑิตศึกษา-โท'!$B$44/2*มคอ2!B7</f>
        <v>2006693.1242647059</v>
      </c>
      <c r="G7" s="4">
        <f t="shared" ref="G7" si="4">E7+F7</f>
        <v>8956432.9824465252</v>
      </c>
      <c r="H7" s="31">
        <f>'บัณฑิตศึกษา-โท'!$B$46</f>
        <v>127.36882774016215</v>
      </c>
      <c r="I7" s="4">
        <f t="shared" ref="I7" si="5">C7-G7</f>
        <v>143567.01755347475</v>
      </c>
      <c r="J7" s="34">
        <f t="shared" ref="J7" si="6">I7/C7</f>
        <v>1.5776595335546675E-2</v>
      </c>
      <c r="L7" s="72"/>
    </row>
    <row r="8" spans="1:13" x14ac:dyDescent="0.7">
      <c r="A8" s="29">
        <v>2572</v>
      </c>
      <c r="B8" s="36">
        <v>130</v>
      </c>
      <c r="C8" s="4">
        <f>B8*D8</f>
        <v>9100000</v>
      </c>
      <c r="D8" s="35">
        <f>'บัณฑิตศึกษา-โท'!$B$45/2</f>
        <v>70000</v>
      </c>
      <c r="E8" s="31">
        <f>'บัณฑิตศึกษา-โท'!$B$43/2</f>
        <v>6949739.8581818184</v>
      </c>
      <c r="F8" s="31">
        <f>'บัณฑิตศึกษา-โท'!$B$44/2*มคอ2!B8</f>
        <v>2006693.1242647059</v>
      </c>
      <c r="G8" s="4">
        <f t="shared" si="1"/>
        <v>8956432.9824465252</v>
      </c>
      <c r="H8" s="31">
        <f>'บัณฑิตศึกษา-โท'!$B$46</f>
        <v>127.36882774016215</v>
      </c>
      <c r="I8" s="4">
        <f t="shared" si="2"/>
        <v>143567.01755347475</v>
      </c>
      <c r="J8" s="34">
        <f t="shared" si="3"/>
        <v>1.5776595335546675E-2</v>
      </c>
      <c r="L8" s="72"/>
    </row>
    <row r="9" spans="1:13" x14ac:dyDescent="0.7">
      <c r="B9" s="37"/>
      <c r="C9" s="32">
        <f>SUM(C4:C8)</f>
        <v>40950000</v>
      </c>
      <c r="E9" s="32">
        <f>SUM(E4:E8)</f>
        <v>34748699.290909089</v>
      </c>
      <c r="F9" s="32">
        <f t="shared" ref="F9:G9" si="7">SUM(F4:F8)</f>
        <v>9030119.0591911767</v>
      </c>
      <c r="G9" s="32">
        <f t="shared" si="7"/>
        <v>43778818.350100264</v>
      </c>
    </row>
    <row r="10" spans="1:13" x14ac:dyDescent="0.7">
      <c r="B10" s="37"/>
    </row>
    <row r="11" spans="1:13" x14ac:dyDescent="0.7">
      <c r="B11" s="38" t="s">
        <v>80</v>
      </c>
    </row>
  </sheetData>
  <mergeCells count="6">
    <mergeCell ref="H2:H3"/>
    <mergeCell ref="I2:J2"/>
    <mergeCell ref="A2:A3"/>
    <mergeCell ref="C2:D2"/>
    <mergeCell ref="B2:B3"/>
    <mergeCell ref="E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คำอธิบาย</vt:lpstr>
      <vt:lpstr>งบการเงิน</vt:lpstr>
      <vt:lpstr>บัณฑิตศึกษา-โท</vt:lpstr>
      <vt:lpstr>มคอ2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Chonthicha Thammavinyu;Rojanee Homchalee</dc:creator>
  <cp:lastModifiedBy>sirima.s</cp:lastModifiedBy>
  <dcterms:created xsi:type="dcterms:W3CDTF">2023-10-23T18:35:10Z</dcterms:created>
  <dcterms:modified xsi:type="dcterms:W3CDTF">2023-11-10T08:25:24Z</dcterms:modified>
</cp:coreProperties>
</file>